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5220" windowWidth="27795" windowHeight="7500"/>
  </bookViews>
  <sheets>
    <sheet name="Proportional Rates" sheetId="1" r:id="rId1"/>
    <sheet name="SF424 Form C Example" sheetId="2" r:id="rId2"/>
  </sheets>
  <calcPr calcId="145621"/>
</workbook>
</file>

<file path=xl/calcChain.xml><?xml version="1.0" encoding="utf-8"?>
<calcChain xmlns="http://schemas.openxmlformats.org/spreadsheetml/2006/main">
  <c r="B6" i="1" l="1"/>
  <c r="B5" i="1"/>
  <c r="B7" i="1"/>
  <c r="B4" i="1"/>
  <c r="B3" i="1"/>
  <c r="E3" i="1"/>
  <c r="E4" i="1" s="1"/>
  <c r="E5" i="1" s="1"/>
  <c r="C1" i="1" l="1"/>
  <c r="E41" i="1" s="1"/>
  <c r="F5" i="1"/>
  <c r="E6" i="1"/>
  <c r="F6" i="1" s="1"/>
  <c r="A14" i="1"/>
  <c r="B17" i="1"/>
  <c r="B15" i="1"/>
  <c r="A18" i="1"/>
  <c r="B16" i="1"/>
  <c r="B19" i="1"/>
  <c r="B20" i="1"/>
  <c r="B18" i="1"/>
  <c r="B21" i="1"/>
  <c r="B14" i="1"/>
  <c r="F4" i="1"/>
  <c r="D15" i="1" s="1"/>
  <c r="F3" i="1"/>
  <c r="D12" i="1" s="1"/>
  <c r="B22" i="1" l="1"/>
  <c r="B25" i="1"/>
  <c r="D23" i="1"/>
  <c r="B24" i="1"/>
  <c r="B23" i="1"/>
  <c r="A22" i="1"/>
  <c r="E7" i="1"/>
  <c r="B26" i="1" s="1"/>
  <c r="D11" i="1"/>
  <c r="D10" i="1"/>
  <c r="D13" i="1"/>
  <c r="D14" i="1"/>
  <c r="D17" i="1"/>
  <c r="D16" i="1"/>
  <c r="D22" i="1"/>
  <c r="D25" i="1"/>
  <c r="D24" i="1"/>
  <c r="I14" i="1" l="1"/>
  <c r="G4" i="1" s="1"/>
  <c r="I10" i="1"/>
  <c r="G3" i="1" s="1"/>
  <c r="I22" i="1"/>
  <c r="G6" i="1" s="1"/>
  <c r="C11" i="1"/>
  <c r="C13" i="1"/>
  <c r="C10" i="1"/>
  <c r="C12" i="1"/>
  <c r="C15" i="1"/>
  <c r="F7" i="1"/>
  <c r="D29" i="1" s="1"/>
  <c r="B27" i="1"/>
  <c r="D27" i="1"/>
  <c r="B28" i="1"/>
  <c r="B29" i="1"/>
  <c r="A26" i="1"/>
  <c r="C22" i="1"/>
  <c r="C17" i="1"/>
  <c r="C23" i="1"/>
  <c r="C25" i="1"/>
  <c r="C16" i="1"/>
  <c r="C24" i="1"/>
  <c r="C14" i="1"/>
  <c r="D19" i="1"/>
  <c r="D20" i="1"/>
  <c r="D21" i="1"/>
  <c r="D18" i="1"/>
  <c r="I18" i="1" l="1"/>
  <c r="G5" i="1" s="1"/>
  <c r="E12" i="1"/>
  <c r="F12" i="1" s="1"/>
  <c r="D26" i="1"/>
  <c r="E13" i="1"/>
  <c r="F13" i="1" s="1"/>
  <c r="E11" i="1"/>
  <c r="F11" i="1" s="1"/>
  <c r="E10" i="1"/>
  <c r="F10" i="1" s="1"/>
  <c r="F33" i="1"/>
  <c r="G33" i="1" s="1"/>
  <c r="F34" i="1"/>
  <c r="G34" i="1" s="1"/>
  <c r="E15" i="1"/>
  <c r="F15" i="1" s="1"/>
  <c r="E23" i="1"/>
  <c r="F23" i="1" s="1"/>
  <c r="F37" i="1"/>
  <c r="G37" i="1" s="1"/>
  <c r="E16" i="1"/>
  <c r="F16" i="1" s="1"/>
  <c r="F36" i="1"/>
  <c r="G36" i="1" s="1"/>
  <c r="D28" i="1"/>
  <c r="F35" i="1"/>
  <c r="G35" i="1" s="1"/>
  <c r="E14" i="1"/>
  <c r="F14" i="1" s="1"/>
  <c r="C20" i="1"/>
  <c r="E24" i="1"/>
  <c r="F24" i="1" s="1"/>
  <c r="C21" i="1"/>
  <c r="E22" i="1"/>
  <c r="F22" i="1" s="1"/>
  <c r="E25" i="1"/>
  <c r="F25" i="1" s="1"/>
  <c r="C19" i="1"/>
  <c r="E17" i="1"/>
  <c r="F17" i="1" s="1"/>
  <c r="C18" i="1"/>
  <c r="I26" i="1" l="1"/>
  <c r="G7" i="1" s="1"/>
  <c r="C28" i="1"/>
  <c r="C27" i="1"/>
  <c r="C29" i="1"/>
  <c r="C26" i="1"/>
  <c r="E19" i="1"/>
  <c r="G19" i="1" s="1"/>
  <c r="F38" i="1"/>
  <c r="E38" i="1"/>
  <c r="E21" i="1"/>
  <c r="G21" i="1" s="1"/>
  <c r="E18" i="1"/>
  <c r="G18" i="1" s="1"/>
  <c r="E20" i="1"/>
  <c r="G20" i="1" s="1"/>
  <c r="G10" i="1"/>
  <c r="G13" i="1"/>
  <c r="G11" i="1"/>
  <c r="G12" i="1"/>
  <c r="G23" i="1"/>
  <c r="G15" i="1"/>
  <c r="G24" i="1"/>
  <c r="G17" i="1"/>
  <c r="G16" i="1"/>
  <c r="G14" i="1"/>
  <c r="G25" i="1"/>
  <c r="G22" i="1"/>
  <c r="F21" i="1" l="1"/>
  <c r="F20" i="1"/>
  <c r="F19" i="1"/>
  <c r="F18" i="1"/>
  <c r="E27" i="1"/>
  <c r="G27" i="1" s="1"/>
  <c r="E26" i="1"/>
  <c r="E29" i="1"/>
  <c r="G29" i="1" s="1"/>
  <c r="E28" i="1"/>
  <c r="H22" i="1"/>
  <c r="H6" i="1" s="1"/>
  <c r="H10" i="1"/>
  <c r="H3" i="1" s="1"/>
  <c r="H18" i="1"/>
  <c r="H5" i="1" s="1"/>
  <c r="H14" i="1"/>
  <c r="H4" i="1" s="1"/>
  <c r="F29" i="1" l="1"/>
  <c r="G26" i="1"/>
  <c r="F26" i="1"/>
  <c r="G28" i="1"/>
  <c r="F28" i="1"/>
  <c r="F27" i="1"/>
  <c r="H26" i="1" l="1"/>
  <c r="H7" i="1" s="1"/>
  <c r="J10" i="1" l="1"/>
  <c r="C41" i="1" s="1"/>
  <c r="I41" i="1" s="1"/>
</calcChain>
</file>

<file path=xl/sharedStrings.xml><?xml version="1.0" encoding="utf-8"?>
<sst xmlns="http://schemas.openxmlformats.org/spreadsheetml/2006/main" count="31" uniqueCount="29">
  <si>
    <t>Range Start</t>
  </si>
  <si>
    <t>Range End</t>
  </si>
  <si>
    <t>Rate</t>
  </si>
  <si>
    <t># of days at this rate</t>
  </si>
  <si>
    <t>Number of Project Periods:</t>
  </si>
  <si>
    <t># of MONTHS at this rate</t>
  </si>
  <si>
    <t>x</t>
  </si>
  <si>
    <t>Direct Cost Base</t>
  </si>
  <si>
    <t>Project Start Date:</t>
  </si>
  <si>
    <t>=</t>
  </si>
  <si>
    <t>Period 1:</t>
  </si>
  <si>
    <t>Indirect Costs in Period</t>
  </si>
  <si>
    <t>Days at Rate</t>
  </si>
  <si>
    <t>MTDC Monthly Base</t>
  </si>
  <si>
    <t>IDC at this Rate, In This Period:</t>
  </si>
  <si>
    <t>MONTHS</t>
  </si>
  <si>
    <r>
      <t xml:space="preserve">MTDC Calculation </t>
    </r>
    <r>
      <rPr>
        <b/>
        <sz val="12"/>
        <color theme="1"/>
        <rFont val="Calibri"/>
        <family val="2"/>
        <scheme val="minor"/>
      </rPr>
      <t>by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Period Rates:</t>
    </r>
  </si>
  <si>
    <t>TOTAL PROJECT INDIRECT COSTS</t>
  </si>
  <si>
    <t>TOTAL PROJECT Direct Cost Base:</t>
  </si>
  <si>
    <t>Period Start:</t>
  </si>
  <si>
    <t>Period End:</t>
  </si>
  <si>
    <t>YOUR CALCULATED IDC BASE:</t>
  </si>
  <si>
    <t>Average Period Rate:</t>
  </si>
  <si>
    <t>Period Indirect Costs:</t>
  </si>
  <si>
    <t>Average Period Rate</t>
  </si>
  <si>
    <r>
      <t xml:space="preserve">MTDC Calculation </t>
    </r>
    <r>
      <rPr>
        <b/>
        <sz val="12"/>
        <color theme="0"/>
        <rFont val="Calibri"/>
        <family val="2"/>
        <scheme val="minor"/>
      </rPr>
      <t>by Average PROJECT Rate:</t>
    </r>
  </si>
  <si>
    <t>Current WSU Negotiated Rates</t>
  </si>
  <si>
    <t>Proportional Indirect Cost Base</t>
  </si>
  <si>
    <t>Version updated: 06/30/2015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</si>
</sst>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1" xfId="0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/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/>
    <xf numFmtId="164" fontId="0" fillId="3" borderId="1" xfId="1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4" fontId="14" fillId="0" borderId="0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4" fontId="0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0" fillId="0" borderId="0" xfId="0" applyProtection="1"/>
    <xf numFmtId="14" fontId="4" fillId="4" borderId="0" xfId="0" applyNumberFormat="1" applyFont="1" applyFill="1" applyProtection="1"/>
    <xf numFmtId="9" fontId="4" fillId="4" borderId="0" xfId="0" applyNumberFormat="1" applyFont="1" applyFill="1" applyProtection="1"/>
    <xf numFmtId="0" fontId="4" fillId="4" borderId="0" xfId="0" applyFont="1" applyFill="1" applyProtection="1"/>
    <xf numFmtId="1" fontId="4" fillId="4" borderId="0" xfId="0" applyNumberFormat="1" applyFont="1" applyFill="1" applyProtection="1"/>
    <xf numFmtId="10" fontId="4" fillId="4" borderId="0" xfId="0" applyNumberFormat="1" applyFont="1" applyFill="1" applyProtection="1"/>
    <xf numFmtId="0" fontId="12" fillId="5" borderId="2" xfId="0" applyFont="1" applyFill="1" applyBorder="1" applyAlignment="1" applyProtection="1">
      <alignment horizontal="right" wrapText="1"/>
    </xf>
    <xf numFmtId="0" fontId="8" fillId="0" borderId="9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10" fontId="11" fillId="0" borderId="3" xfId="0" applyNumberFormat="1" applyFont="1" applyFill="1" applyBorder="1" applyProtection="1"/>
    <xf numFmtId="0" fontId="7" fillId="0" borderId="4" xfId="0" applyNumberFormat="1" applyFont="1" applyFill="1" applyBorder="1" applyProtection="1"/>
    <xf numFmtId="1" fontId="11" fillId="0" borderId="4" xfId="0" applyNumberFormat="1" applyFont="1" applyBorder="1" applyProtection="1"/>
    <xf numFmtId="164" fontId="7" fillId="0" borderId="4" xfId="0" applyNumberFormat="1" applyFont="1" applyBorder="1" applyProtection="1"/>
    <xf numFmtId="164" fontId="2" fillId="0" borderId="4" xfId="0" applyNumberFormat="1" applyFont="1" applyBorder="1" applyProtection="1"/>
    <xf numFmtId="164" fontId="2" fillId="5" borderId="6" xfId="0" applyNumberFormat="1" applyFont="1" applyFill="1" applyBorder="1" applyProtection="1"/>
    <xf numFmtId="10" fontId="11" fillId="0" borderId="7" xfId="0" applyNumberFormat="1" applyFont="1" applyFill="1" applyBorder="1" applyProtection="1"/>
    <xf numFmtId="0" fontId="7" fillId="0" borderId="0" xfId="0" applyNumberFormat="1" applyFont="1" applyFill="1" applyBorder="1" applyProtection="1"/>
    <xf numFmtId="1" fontId="11" fillId="0" borderId="0" xfId="0" applyNumberFormat="1" applyFont="1" applyBorder="1" applyProtection="1"/>
    <xf numFmtId="164" fontId="7" fillId="0" borderId="0" xfId="0" applyNumberFormat="1" applyFont="1" applyBorder="1" applyProtection="1"/>
    <xf numFmtId="164" fontId="2" fillId="0" borderId="0" xfId="0" applyNumberFormat="1" applyFont="1" applyBorder="1" applyProtection="1"/>
    <xf numFmtId="0" fontId="0" fillId="0" borderId="8" xfId="0" applyBorder="1" applyProtection="1"/>
    <xf numFmtId="164" fontId="11" fillId="0" borderId="0" xfId="0" applyNumberFormat="1" applyFont="1" applyBorder="1" applyProtection="1"/>
    <xf numFmtId="0" fontId="7" fillId="0" borderId="0" xfId="0" applyFont="1" applyBorder="1" applyProtection="1"/>
    <xf numFmtId="10" fontId="11" fillId="0" borderId="5" xfId="0" applyNumberFormat="1" applyFont="1" applyFill="1" applyBorder="1" applyProtection="1"/>
    <xf numFmtId="0" fontId="7" fillId="0" borderId="1" xfId="0" applyNumberFormat="1" applyFont="1" applyFill="1" applyBorder="1" applyProtection="1"/>
    <xf numFmtId="1" fontId="11" fillId="0" borderId="1" xfId="0" applyNumberFormat="1" applyFont="1" applyBorder="1" applyProtection="1"/>
    <xf numFmtId="164" fontId="7" fillId="0" borderId="1" xfId="0" applyNumberFormat="1" applyFont="1" applyBorder="1" applyProtection="1"/>
    <xf numFmtId="164" fontId="2" fillId="0" borderId="1" xfId="0" applyNumberFormat="1" applyFont="1" applyBorder="1" applyProtection="1"/>
    <xf numFmtId="0" fontId="0" fillId="0" borderId="6" xfId="0" applyBorder="1" applyProtection="1"/>
    <xf numFmtId="0" fontId="0" fillId="0" borderId="0" xfId="0" applyFill="1" applyProtection="1"/>
    <xf numFmtId="0" fontId="15" fillId="0" borderId="0" xfId="0" applyFont="1" applyFill="1" applyBorder="1" applyAlignment="1" applyProtection="1">
      <alignment wrapText="1"/>
    </xf>
    <xf numFmtId="14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1" fontId="9" fillId="0" borderId="0" xfId="0" applyNumberFormat="1" applyFont="1" applyProtection="1"/>
    <xf numFmtId="0" fontId="2" fillId="0" borderId="10" xfId="0" applyFont="1" applyBorder="1" applyAlignment="1" applyProtection="1">
      <alignment horizontal="center" vertical="center" wrapText="1"/>
    </xf>
    <xf numFmtId="164" fontId="0" fillId="3" borderId="10" xfId="1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2" fillId="0" borderId="11" xfId="0" applyFont="1" applyBorder="1" applyAlignment="1" applyProtection="1">
      <alignment horizontal="center" vertical="center" wrapText="1"/>
    </xf>
    <xf numFmtId="164" fontId="0" fillId="3" borderId="11" xfId="1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14" fontId="19" fillId="6" borderId="0" xfId="0" applyNumberFormat="1" applyFont="1" applyFill="1" applyBorder="1" applyAlignment="1" applyProtection="1">
      <alignment horizontal="center" vertical="center" wrapText="1"/>
    </xf>
    <xf numFmtId="10" fontId="16" fillId="6" borderId="10" xfId="2" applyNumberFormat="1" applyFont="1" applyFill="1" applyBorder="1" applyAlignment="1" applyProtection="1">
      <alignment horizontal="center"/>
    </xf>
    <xf numFmtId="10" fontId="16" fillId="6" borderId="11" xfId="2" applyNumberFormat="1" applyFont="1" applyFill="1" applyBorder="1" applyAlignment="1" applyProtection="1">
      <alignment horizontal="center"/>
    </xf>
    <xf numFmtId="10" fontId="16" fillId="6" borderId="1" xfId="2" applyNumberFormat="1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10" fontId="7" fillId="0" borderId="8" xfId="2" applyNumberFormat="1" applyFont="1" applyFill="1" applyBorder="1" applyProtection="1"/>
    <xf numFmtId="0" fontId="0" fillId="0" borderId="0" xfId="0" applyFill="1"/>
    <xf numFmtId="0" fontId="17" fillId="0" borderId="0" xfId="0" applyFont="1" applyFill="1" applyBorder="1" applyProtection="1"/>
    <xf numFmtId="14" fontId="21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0" fontId="16" fillId="0" borderId="0" xfId="2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quotePrefix="1" applyFont="1" applyFill="1" applyBorder="1" applyAlignment="1" applyProtection="1">
      <alignment horizontal="center" vertical="center"/>
    </xf>
    <xf numFmtId="164" fontId="16" fillId="0" borderId="0" xfId="1" applyNumberFormat="1" applyFont="1" applyFill="1" applyBorder="1" applyAlignment="1" applyProtection="1">
      <alignment horizontal="center" vertical="center"/>
    </xf>
    <xf numFmtId="10" fontId="11" fillId="0" borderId="0" xfId="0" applyNumberFormat="1" applyFont="1" applyFill="1" applyBorder="1" applyProtection="1"/>
    <xf numFmtId="0" fontId="0" fillId="0" borderId="0" xfId="0" applyBorder="1" applyProtection="1"/>
    <xf numFmtId="10" fontId="24" fillId="7" borderId="0" xfId="0" applyNumberFormat="1" applyFont="1" applyFill="1" applyBorder="1" applyProtection="1"/>
    <xf numFmtId="0" fontId="25" fillId="7" borderId="0" xfId="0" applyNumberFormat="1" applyFont="1" applyFill="1" applyBorder="1" applyProtection="1"/>
    <xf numFmtId="1" fontId="20" fillId="7" borderId="0" xfId="0" applyNumberFormat="1" applyFont="1" applyFill="1" applyBorder="1" applyProtection="1"/>
    <xf numFmtId="164" fontId="25" fillId="7" borderId="0" xfId="0" applyNumberFormat="1" applyFont="1" applyFill="1" applyBorder="1" applyProtection="1"/>
    <xf numFmtId="164" fontId="20" fillId="7" borderId="0" xfId="0" applyNumberFormat="1" applyFont="1" applyFill="1" applyBorder="1" applyProtection="1"/>
    <xf numFmtId="0" fontId="17" fillId="0" borderId="0" xfId="0" applyNumberFormat="1" applyFont="1" applyFill="1" applyBorder="1" applyProtection="1"/>
    <xf numFmtId="0" fontId="17" fillId="0" borderId="0" xfId="0" applyFont="1" applyBorder="1" applyProtection="1"/>
    <xf numFmtId="10" fontId="17" fillId="0" borderId="0" xfId="2" applyNumberFormat="1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164" fontId="18" fillId="0" borderId="4" xfId="0" applyNumberFormat="1" applyFont="1" applyBorder="1" applyProtection="1"/>
    <xf numFmtId="164" fontId="18" fillId="0" borderId="0" xfId="0" applyNumberFormat="1" applyFont="1" applyBorder="1" applyProtection="1"/>
    <xf numFmtId="164" fontId="18" fillId="0" borderId="1" xfId="0" applyNumberFormat="1" applyFont="1" applyBorder="1" applyProtection="1"/>
    <xf numFmtId="0" fontId="2" fillId="2" borderId="2" xfId="0" applyFont="1" applyFill="1" applyBorder="1" applyProtection="1"/>
    <xf numFmtId="0" fontId="2" fillId="8" borderId="2" xfId="0" applyFont="1" applyFill="1" applyBorder="1" applyProtection="1"/>
    <xf numFmtId="0" fontId="2" fillId="10" borderId="2" xfId="0" applyFont="1" applyFill="1" applyBorder="1" applyProtection="1"/>
    <xf numFmtId="0" fontId="2" fillId="11" borderId="2" xfId="0" applyFont="1" applyFill="1" applyBorder="1" applyProtection="1"/>
    <xf numFmtId="0" fontId="2" fillId="9" borderId="2" xfId="0" applyFont="1" applyFill="1" applyBorder="1" applyProtection="1"/>
    <xf numFmtId="164" fontId="0" fillId="4" borderId="1" xfId="1" applyNumberFormat="1" applyFont="1" applyFill="1" applyBorder="1" applyAlignment="1" applyProtection="1">
      <alignment vertical="center"/>
    </xf>
    <xf numFmtId="14" fontId="3" fillId="4" borderId="10" xfId="0" applyNumberFormat="1" applyFont="1" applyFill="1" applyBorder="1" applyAlignment="1" applyProtection="1"/>
    <xf numFmtId="14" fontId="3" fillId="4" borderId="11" xfId="0" applyNumberFormat="1" applyFont="1" applyFill="1" applyBorder="1" applyAlignment="1" applyProtection="1"/>
    <xf numFmtId="14" fontId="3" fillId="4" borderId="1" xfId="0" applyNumberFormat="1" applyFont="1" applyFill="1" applyBorder="1" applyAlignment="1" applyProtection="1"/>
    <xf numFmtId="164" fontId="2" fillId="4" borderId="10" xfId="1" applyNumberFormat="1" applyFont="1" applyFill="1" applyBorder="1" applyAlignment="1" applyProtection="1">
      <alignment horizontal="center"/>
    </xf>
    <xf numFmtId="164" fontId="2" fillId="4" borderId="11" xfId="1" applyNumberFormat="1" applyFont="1" applyFill="1" applyBorder="1" applyAlignment="1" applyProtection="1">
      <alignment horizontal="center"/>
    </xf>
    <xf numFmtId="164" fontId="2" fillId="4" borderId="1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164" fontId="8" fillId="0" borderId="13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6" xfId="0" applyFont="1" applyBorder="1" applyProtection="1"/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ont>
        <b/>
        <i val="0"/>
        <strike/>
        <color rgb="FFFF0000"/>
      </font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242889</xdr:colOff>
      <xdr:row>0</xdr:row>
      <xdr:rowOff>57149</xdr:rowOff>
    </xdr:from>
    <xdr:to>
      <xdr:col>10</xdr:col>
      <xdr:colOff>1047753</xdr:colOff>
      <xdr:row>2</xdr:row>
      <xdr:rowOff>247650</xdr:rowOff>
    </xdr:to>
    <xdr:sp macro="" textlink="">
      <xdr:nvSpPr>
        <xdr:cNvPr id="5" name="Rectangular Callout 4"/>
        <xdr:cNvSpPr/>
      </xdr:nvSpPr>
      <xdr:spPr>
        <a:xfrm rot="16200000">
          <a:off x="8965408" y="-1016795"/>
          <a:ext cx="1076326" cy="3224214"/>
        </a:xfrm>
        <a:prstGeom prst="wedgeRectCallout">
          <a:avLst>
            <a:gd name="adj1" fmla="val 26077"/>
            <a:gd name="adj2" fmla="val -5820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vert="vert" rtlCol="0" anchor="t"/>
        <a:lstStyle/>
        <a:p>
          <a:pPr algn="l"/>
          <a:r>
            <a:rPr lang="en-US" sz="1050">
              <a:latin typeface="+mj-lt"/>
            </a:rPr>
            <a:t>Fillable fields are blue; be sure to enter your project start date, number of project periods, and your calculated</a:t>
          </a:r>
          <a:r>
            <a:rPr lang="en-US" sz="1050" baseline="0">
              <a:latin typeface="+mj-lt"/>
            </a:rPr>
            <a:t> IDC base for each period (e.g., your base after subtracting out equipment, tuition, subs over 25K, etc.)</a:t>
          </a:r>
          <a:endParaRPr lang="en-US" sz="1050">
            <a:latin typeface="+mj-lt"/>
          </a:endParaRPr>
        </a:p>
      </xdr:txBody>
    </xdr:sp>
    <xdr:clientData/>
  </xdr:twoCellAnchor>
  <xdr:twoCellAnchor>
    <xdr:from>
      <xdr:col>10</xdr:col>
      <xdr:colOff>161925</xdr:colOff>
      <xdr:row>6</xdr:row>
      <xdr:rowOff>257176</xdr:rowOff>
    </xdr:from>
    <xdr:to>
      <xdr:col>10</xdr:col>
      <xdr:colOff>1009650</xdr:colOff>
      <xdr:row>9</xdr:row>
      <xdr:rowOff>114300</xdr:rowOff>
    </xdr:to>
    <xdr:sp macro="" textlink="">
      <xdr:nvSpPr>
        <xdr:cNvPr id="7" name="Rectangular Callout 6"/>
        <xdr:cNvSpPr/>
      </xdr:nvSpPr>
      <xdr:spPr>
        <a:xfrm>
          <a:off x="10534650" y="2228851"/>
          <a:ext cx="847725" cy="1047749"/>
        </a:xfrm>
        <a:prstGeom prst="wedgeRectCallout">
          <a:avLst>
            <a:gd name="adj1" fmla="val -73441"/>
            <a:gd name="adj2" fmla="val 46688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45720" rIns="0" rtlCol="0" anchor="t"/>
        <a:lstStyle/>
        <a:p>
          <a:pPr algn="l"/>
          <a:r>
            <a:rPr lang="en-US" sz="1050">
              <a:latin typeface="+mj-lt"/>
            </a:rPr>
            <a:t>Your</a:t>
          </a:r>
          <a:r>
            <a:rPr lang="en-US" sz="1050" baseline="0">
              <a:latin typeface="+mj-lt"/>
            </a:rPr>
            <a:t> total IDC dollars for all periods are tallied here</a:t>
          </a:r>
          <a:endParaRPr lang="en-US" sz="1050">
            <a:latin typeface="+mj-lt"/>
          </a:endParaRPr>
        </a:p>
      </xdr:txBody>
    </xdr:sp>
    <xdr:clientData/>
  </xdr:twoCellAnchor>
  <xdr:twoCellAnchor>
    <xdr:from>
      <xdr:col>0</xdr:col>
      <xdr:colOff>47625</xdr:colOff>
      <xdr:row>2</xdr:row>
      <xdr:rowOff>161925</xdr:rowOff>
    </xdr:from>
    <xdr:to>
      <xdr:col>1</xdr:col>
      <xdr:colOff>285751</xdr:colOff>
      <xdr:row>7</xdr:row>
      <xdr:rowOff>180975</xdr:rowOff>
    </xdr:to>
    <xdr:sp macro="" textlink="">
      <xdr:nvSpPr>
        <xdr:cNvPr id="10" name="Rectangular Callout 9"/>
        <xdr:cNvSpPr/>
      </xdr:nvSpPr>
      <xdr:spPr>
        <a:xfrm>
          <a:off x="47625" y="1047750"/>
          <a:ext cx="847726" cy="1371600"/>
        </a:xfrm>
        <a:prstGeom prst="wedgeRectCallout">
          <a:avLst>
            <a:gd name="adj1" fmla="val 58866"/>
            <a:gd name="adj2" fmla="val -98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45720" rIns="45720" rtlCol="0" anchor="t"/>
        <a:lstStyle/>
        <a:p>
          <a:pPr algn="l"/>
          <a:r>
            <a:rPr lang="en-US" sz="850">
              <a:latin typeface="+mj-lt"/>
            </a:rPr>
            <a:t>Be sure to</a:t>
          </a:r>
          <a:r>
            <a:rPr lang="en-US" sz="850" baseline="0">
              <a:latin typeface="+mj-lt"/>
            </a:rPr>
            <a:t> delete values in nonexistent project periods. If you see red strike-throughs, either delete the value or change your number of project periods</a:t>
          </a:r>
          <a:endParaRPr lang="en-US" sz="850">
            <a:latin typeface="+mj-lt"/>
          </a:endParaRPr>
        </a:p>
      </xdr:txBody>
    </xdr:sp>
    <xdr:clientData/>
  </xdr:twoCellAnchor>
  <xdr:oneCellAnchor>
    <xdr:from>
      <xdr:col>10</xdr:col>
      <xdr:colOff>66675</xdr:colOff>
      <xdr:row>14</xdr:row>
      <xdr:rowOff>152400</xdr:rowOff>
    </xdr:from>
    <xdr:ext cx="184731" cy="264560"/>
    <xdr:sp macro="" textlink="">
      <xdr:nvSpPr>
        <xdr:cNvPr id="11" name="TextBox 10"/>
        <xdr:cNvSpPr txBox="1"/>
      </xdr:nvSpPr>
      <xdr:spPr>
        <a:xfrm>
          <a:off x="9020175" y="584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9</xdr:col>
      <xdr:colOff>228601</xdr:colOff>
      <xdr:row>11</xdr:row>
      <xdr:rowOff>161924</xdr:rowOff>
    </xdr:from>
    <xdr:to>
      <xdr:col>10</xdr:col>
      <xdr:colOff>1038226</xdr:colOff>
      <xdr:row>21</xdr:row>
      <xdr:rowOff>190499</xdr:rowOff>
    </xdr:to>
    <xdr:sp macro="" textlink="">
      <xdr:nvSpPr>
        <xdr:cNvPr id="2" name="Line Callout 2 1"/>
        <xdr:cNvSpPr/>
      </xdr:nvSpPr>
      <xdr:spPr>
        <a:xfrm>
          <a:off x="7877176" y="3714749"/>
          <a:ext cx="2228850" cy="1990725"/>
        </a:xfrm>
        <a:prstGeom prst="borderCallout2">
          <a:avLst>
            <a:gd name="adj1" fmla="val 4208"/>
            <a:gd name="adj2" fmla="val 305"/>
            <a:gd name="adj3" fmla="val 3862"/>
            <a:gd name="adj4" fmla="val -15670"/>
            <a:gd name="adj5" fmla="val 37911"/>
            <a:gd name="adj6" fmla="val -98409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The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WSU submission standard preferred by SPA is the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expression of  multiple rates per period on your SF424 ; your number of months, proportional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base</a:t>
          </a:r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and dollars for each negotiated percentage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are bolded and highlighted in colors corresponding to the rate period. See example in "SF424 Form C Example" tab below.</a:t>
          </a:r>
          <a:endParaRPr lang="en-US">
            <a:effectLst/>
            <a:latin typeface="+mj-lt"/>
          </a:endParaRPr>
        </a:p>
        <a:p>
          <a:pPr algn="l"/>
          <a:endParaRPr lang="en-US" sz="1100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152400</xdr:rowOff>
    </xdr:from>
    <xdr:to>
      <xdr:col>19</xdr:col>
      <xdr:colOff>409576</xdr:colOff>
      <xdr:row>46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71600" y="342900"/>
          <a:ext cx="11229976" cy="84582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>
    <xdr:from>
      <xdr:col>14</xdr:col>
      <xdr:colOff>590550</xdr:colOff>
      <xdr:row>15</xdr:row>
      <xdr:rowOff>76201</xdr:rowOff>
    </xdr:from>
    <xdr:to>
      <xdr:col>18</xdr:col>
      <xdr:colOff>161925</xdr:colOff>
      <xdr:row>18</xdr:row>
      <xdr:rowOff>133351</xdr:rowOff>
    </xdr:to>
    <xdr:sp macro="" textlink="">
      <xdr:nvSpPr>
        <xdr:cNvPr id="3" name="Rectangular Callout 2"/>
        <xdr:cNvSpPr/>
      </xdr:nvSpPr>
      <xdr:spPr>
        <a:xfrm>
          <a:off x="9734550" y="2933701"/>
          <a:ext cx="2009775" cy="628650"/>
        </a:xfrm>
        <a:prstGeom prst="wedgeRectCallout">
          <a:avLst>
            <a:gd name="adj1" fmla="val -145477"/>
            <a:gd name="adj2" fmla="val 21903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atin typeface="+mj-lt"/>
            </a:rPr>
            <a:t>From </a:t>
          </a:r>
          <a:r>
            <a:rPr lang="en-US" sz="1100" b="1">
              <a:latin typeface="+mj-lt"/>
            </a:rPr>
            <a:t>COLUMN</a:t>
          </a:r>
          <a:r>
            <a:rPr lang="en-US" sz="1100" b="1" baseline="0">
              <a:latin typeface="+mj-lt"/>
            </a:rPr>
            <a:t> F</a:t>
          </a:r>
          <a:r>
            <a:rPr lang="en-US" sz="1100" baseline="0">
              <a:latin typeface="+mj-lt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</a:t>
          </a:r>
          <a:r>
            <a:rPr lang="en-US" sz="1100" i="1" baseline="0">
              <a:latin typeface="+mj-lt"/>
            </a:rPr>
            <a:t>Rates</a:t>
          </a:r>
          <a:r>
            <a:rPr lang="en-US" sz="1100" baseline="0">
              <a:latin typeface="+mj-lt"/>
            </a:rPr>
            <a:t> tab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16</xdr:col>
      <xdr:colOff>352426</xdr:colOff>
      <xdr:row>19</xdr:row>
      <xdr:rowOff>180975</xdr:rowOff>
    </xdr:from>
    <xdr:to>
      <xdr:col>19</xdr:col>
      <xdr:colOff>209550</xdr:colOff>
      <xdr:row>23</xdr:row>
      <xdr:rowOff>66674</xdr:rowOff>
    </xdr:to>
    <xdr:sp macro="" textlink="">
      <xdr:nvSpPr>
        <xdr:cNvPr id="4" name="Rectangular Callout 3"/>
        <xdr:cNvSpPr/>
      </xdr:nvSpPr>
      <xdr:spPr>
        <a:xfrm>
          <a:off x="10715626" y="3800475"/>
          <a:ext cx="1685924" cy="647699"/>
        </a:xfrm>
        <a:prstGeom prst="wedgeRectCallout">
          <a:avLst>
            <a:gd name="adj1" fmla="val -124124"/>
            <a:gd name="adj2" fmla="val 8035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G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Rates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4</xdr:col>
      <xdr:colOff>333376</xdr:colOff>
      <xdr:row>17</xdr:row>
      <xdr:rowOff>133350</xdr:rowOff>
    </xdr:from>
    <xdr:to>
      <xdr:col>7</xdr:col>
      <xdr:colOff>190500</xdr:colOff>
      <xdr:row>21</xdr:row>
      <xdr:rowOff>19049</xdr:rowOff>
    </xdr:to>
    <xdr:sp macro="" textlink="">
      <xdr:nvSpPr>
        <xdr:cNvPr id="5" name="Rectangular Callout 4"/>
        <xdr:cNvSpPr/>
      </xdr:nvSpPr>
      <xdr:spPr>
        <a:xfrm>
          <a:off x="3381376" y="3371850"/>
          <a:ext cx="1685924" cy="647699"/>
        </a:xfrm>
        <a:prstGeom prst="wedgeRectCallout">
          <a:avLst>
            <a:gd name="adj1" fmla="val -63107"/>
            <a:gd name="adj2" fmla="val 142122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Rates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7</xdr:col>
      <xdr:colOff>504826</xdr:colOff>
      <xdr:row>13</xdr:row>
      <xdr:rowOff>19050</xdr:rowOff>
    </xdr:from>
    <xdr:to>
      <xdr:col>10</xdr:col>
      <xdr:colOff>361950</xdr:colOff>
      <xdr:row>16</xdr:row>
      <xdr:rowOff>95249</xdr:rowOff>
    </xdr:to>
    <xdr:sp macro="" textlink="">
      <xdr:nvSpPr>
        <xdr:cNvPr id="6" name="Rectangular Callout 5"/>
        <xdr:cNvSpPr/>
      </xdr:nvSpPr>
      <xdr:spPr>
        <a:xfrm>
          <a:off x="5381626" y="2495550"/>
          <a:ext cx="1685924" cy="647699"/>
        </a:xfrm>
        <a:prstGeom prst="wedgeRectCallout">
          <a:avLst>
            <a:gd name="adj1" fmla="val -34293"/>
            <a:gd name="adj2" fmla="val 27300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From </a:t>
          </a:r>
          <a:r>
            <a:rPr lang="en-US" sz="11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B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of "MTDC Calculation" in </a:t>
          </a:r>
          <a:r>
            <a:rPr lang="en-US" sz="1100" i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Proportional Rates </a:t>
          </a:r>
          <a:r>
            <a:rPr lang="en-US" sz="11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tab</a:t>
          </a:r>
          <a:endParaRPr lang="en-US">
            <a:effectLst/>
            <a:latin typeface="+mj-lt"/>
          </a:endParaRPr>
        </a:p>
      </xdr:txBody>
    </xdr:sp>
    <xdr:clientData/>
  </xdr:twoCellAnchor>
  <xdr:twoCellAnchor>
    <xdr:from>
      <xdr:col>5</xdr:col>
      <xdr:colOff>485774</xdr:colOff>
      <xdr:row>27</xdr:row>
      <xdr:rowOff>28575</xdr:rowOff>
    </xdr:from>
    <xdr:to>
      <xdr:col>9</xdr:col>
      <xdr:colOff>342899</xdr:colOff>
      <xdr:row>29</xdr:row>
      <xdr:rowOff>57150</xdr:rowOff>
    </xdr:to>
    <xdr:sp macro="" textlink="">
      <xdr:nvSpPr>
        <xdr:cNvPr id="7" name="Rectangular Callout 6"/>
        <xdr:cNvSpPr/>
      </xdr:nvSpPr>
      <xdr:spPr>
        <a:xfrm>
          <a:off x="4143374" y="5172075"/>
          <a:ext cx="2295525" cy="409575"/>
        </a:xfrm>
        <a:prstGeom prst="wedgeRectCallout">
          <a:avLst>
            <a:gd name="adj1" fmla="val -70665"/>
            <a:gd name="adj2" fmla="val -41189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you do not see multiple</a:t>
          </a:r>
          <a:r>
            <a:rPr lang="en-US" sz="9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lines in which to record your indirect costs, click this button</a:t>
          </a:r>
          <a:endParaRPr lang="en-US" sz="900">
            <a:effectLst/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3"/>
  <sheetViews>
    <sheetView tabSelected="1" zoomScaleNormal="100" workbookViewId="0">
      <selection activeCell="F1" sqref="F1"/>
    </sheetView>
  </sheetViews>
  <sheetFormatPr defaultRowHeight="15" x14ac:dyDescent="0.25"/>
  <cols>
    <col min="2" max="2" width="20" customWidth="1"/>
    <col min="3" max="3" width="16.42578125" customWidth="1"/>
    <col min="4" max="4" width="0" hidden="1" customWidth="1"/>
    <col min="5" max="5" width="15.28515625" customWidth="1"/>
    <col min="6" max="6" width="15.7109375" customWidth="1"/>
    <col min="7" max="7" width="14.85546875" customWidth="1"/>
    <col min="8" max="8" width="14.140625" customWidth="1"/>
    <col min="9" max="9" width="15" hidden="1" customWidth="1"/>
    <col min="10" max="10" width="21.28515625" customWidth="1"/>
    <col min="11" max="11" width="16.7109375" customWidth="1"/>
    <col min="12" max="12" width="23.85546875" customWidth="1"/>
  </cols>
  <sheetData>
    <row r="1" spans="1:20" ht="45.75" customHeight="1" thickBot="1" x14ac:dyDescent="0.3">
      <c r="A1" s="16"/>
      <c r="B1" s="17" t="s">
        <v>18</v>
      </c>
      <c r="C1" s="109">
        <f>IF(LEN(B7)&gt;0,SUM(C3:C7),IF(LEN(B6)&gt;0,SUM(C3:C6),IF(LEN(B5)&gt;0,SUM(C3:C5),IF(LEN(B4)&gt;0,SUM(C3:C4),IF(LEN(B3)&gt;0,C3,0)))))</f>
        <v>545000</v>
      </c>
      <c r="D1" s="20"/>
      <c r="E1" s="21" t="s">
        <v>8</v>
      </c>
      <c r="F1" s="10">
        <v>42095</v>
      </c>
      <c r="G1" s="21" t="s">
        <v>4</v>
      </c>
      <c r="H1" s="8">
        <v>5</v>
      </c>
      <c r="I1" s="1"/>
      <c r="J1" s="1"/>
    </row>
    <row r="2" spans="1:20" ht="24" customHeight="1" x14ac:dyDescent="0.25">
      <c r="A2" s="13"/>
      <c r="B2" s="14"/>
      <c r="C2" s="18" t="s">
        <v>21</v>
      </c>
      <c r="D2" s="62"/>
      <c r="E2" s="14" t="s">
        <v>19</v>
      </c>
      <c r="F2" s="63" t="s">
        <v>20</v>
      </c>
      <c r="G2" s="72" t="s">
        <v>22</v>
      </c>
      <c r="H2" s="63" t="s">
        <v>23</v>
      </c>
      <c r="I2" s="11"/>
    </row>
    <row r="3" spans="1:20" ht="21.75" customHeight="1" x14ac:dyDescent="0.25">
      <c r="A3" s="15"/>
      <c r="B3" s="66" t="str">
        <f>IF($H$1&gt;0,"Period 1:","")</f>
        <v>Period 1:</v>
      </c>
      <c r="C3" s="67">
        <v>136000</v>
      </c>
      <c r="D3" s="68"/>
      <c r="E3" s="110">
        <f>F1</f>
        <v>42095</v>
      </c>
      <c r="F3" s="110">
        <f>IF(LEN(E3)&gt;0,(E3+(DATE(YEAR(E3)+1,MONTH(E3),DAY(E3))-E3-1)),"")</f>
        <v>42460</v>
      </c>
      <c r="G3" s="73">
        <f>IF(LEN(B3)&gt;0,I10,"")</f>
        <v>0.52749999999999997</v>
      </c>
      <c r="H3" s="113">
        <f>IF(LEN(B3)&gt;0,H10,"")</f>
        <v>71740</v>
      </c>
      <c r="I3" s="2"/>
    </row>
    <row r="4" spans="1:20" ht="21" customHeight="1" x14ac:dyDescent="0.25">
      <c r="A4" s="15"/>
      <c r="B4" s="66" t="str">
        <f>IF($H$1&gt;1,"Period 2:","")</f>
        <v>Period 2:</v>
      </c>
      <c r="C4" s="67">
        <v>124000</v>
      </c>
      <c r="D4" s="68"/>
      <c r="E4" s="110">
        <f>IF(H1&gt;=2,(IF(LEN(E3)&gt;0,DATE((YEAR(E3)+1),MONTH(E3),(DAY(E3))),"")),"")</f>
        <v>42461</v>
      </c>
      <c r="F4" s="110">
        <f>IF(LEN(E4)&gt;0,(E4+(DATE(YEAR(E4)+1,MONTH(E4),DAY(E4))-E4-1)),"")</f>
        <v>42825</v>
      </c>
      <c r="G4" s="73">
        <f>IF(LEN(B4)&gt;0,I14,"")</f>
        <v>0.53498630136986303</v>
      </c>
      <c r="H4" s="113">
        <f>IF(LEN(B4)&gt;0,H14,"")</f>
        <v>66338.301369863009</v>
      </c>
      <c r="I4" s="2"/>
    </row>
    <row r="5" spans="1:20" ht="21.75" customHeight="1" x14ac:dyDescent="0.25">
      <c r="A5" s="15"/>
      <c r="B5" s="66" t="str">
        <f>IF($H$1&gt;2,"Period 3:","")</f>
        <v>Period 3:</v>
      </c>
      <c r="C5" s="67">
        <v>20000</v>
      </c>
      <c r="D5" s="68"/>
      <c r="E5" s="110">
        <f>IF(H1&gt;=3,(IF(LEN(E4)&gt;0,DATE((YEAR(E4)+1),MONTH(E4),(DAY(E4))),"")),"")</f>
        <v>42826</v>
      </c>
      <c r="F5" s="110">
        <f>IF(LEN(E5)&gt;0,(E5+(DATE(YEAR(E5)+1,MONTH(E5),DAY(E5))-E5-1)),"")</f>
        <v>43190</v>
      </c>
      <c r="G5" s="73">
        <f>IF(LEN(B5)&gt;0,I18,"")</f>
        <v>0.54</v>
      </c>
      <c r="H5" s="113">
        <f>IF(LEN(B5)&gt;0,H18,"")</f>
        <v>10800</v>
      </c>
      <c r="I5" s="2"/>
    </row>
    <row r="6" spans="1:20" ht="21" customHeight="1" x14ac:dyDescent="0.25">
      <c r="A6" s="15"/>
      <c r="B6" s="69" t="str">
        <f>IF($H$1&gt;3,"Period 4:","")</f>
        <v>Period 4:</v>
      </c>
      <c r="C6" s="70">
        <v>165000</v>
      </c>
      <c r="D6" s="71"/>
      <c r="E6" s="111">
        <f>IF(H1&gt;=4,(IF(LEN(E5)&gt;0,DATE((YEAR(E5)+1),MONTH(E5),(DAY(E5))),"")),"")</f>
        <v>43191</v>
      </c>
      <c r="F6" s="111">
        <f>IF(LEN(E6)&gt;0,(E6+(DATE(YEAR(E6)+1,MONTH(E6),DAY(E6))-E6-1)),"")</f>
        <v>43555</v>
      </c>
      <c r="G6" s="74">
        <f>IF(LEN(B6)&gt;0,I22,"")</f>
        <v>0.54</v>
      </c>
      <c r="H6" s="114">
        <f>IF(LEN(B6)&gt;0,H22,"")</f>
        <v>89100</v>
      </c>
      <c r="I6" s="2"/>
    </row>
    <row r="7" spans="1:20" ht="21" customHeight="1" thickBot="1" x14ac:dyDescent="0.3">
      <c r="A7" s="16"/>
      <c r="B7" s="17" t="str">
        <f>IF($H$1&gt;4,"Period 5:","")</f>
        <v>Period 5:</v>
      </c>
      <c r="C7" s="12">
        <v>100000</v>
      </c>
      <c r="D7" s="19"/>
      <c r="E7" s="112">
        <f>IF(H1&gt;=5,(IF(LEN(E6)&gt;0,DATE((YEAR(E6)+1),MONTH(E6),(DAY(E6))),"")),"")</f>
        <v>43556</v>
      </c>
      <c r="F7" s="112">
        <f>IF(LEN(E7)&gt;0,(E7+(DATE(YEAR(E7)+1,MONTH(E7),DAY(E7))-E7-1)),"")</f>
        <v>43921</v>
      </c>
      <c r="G7" s="75">
        <f>IF(LEN(B7)&gt;0,I26,"")</f>
        <v>0.54</v>
      </c>
      <c r="H7" s="115">
        <f>IF(LEN(B7)&gt;0,H26,"")</f>
        <v>54000</v>
      </c>
      <c r="I7" s="1"/>
      <c r="J7" s="1"/>
    </row>
    <row r="8" spans="1:20" ht="27" customHeight="1" thickBot="1" x14ac:dyDescent="0.3">
      <c r="A8" s="22"/>
      <c r="B8" s="23"/>
      <c r="C8" s="24"/>
      <c r="D8" s="25"/>
      <c r="E8" s="26"/>
      <c r="F8" s="27"/>
      <c r="G8" s="26"/>
      <c r="H8" s="22"/>
      <c r="I8" s="25"/>
    </row>
    <row r="9" spans="1:20" ht="45.75" thickBot="1" x14ac:dyDescent="0.3">
      <c r="A9" s="30"/>
      <c r="B9" s="36" t="s">
        <v>16</v>
      </c>
      <c r="C9" s="38" t="s">
        <v>15</v>
      </c>
      <c r="D9" s="37" t="s">
        <v>12</v>
      </c>
      <c r="E9" s="39" t="s">
        <v>13</v>
      </c>
      <c r="F9" s="40" t="s">
        <v>27</v>
      </c>
      <c r="G9" s="40" t="s">
        <v>14</v>
      </c>
      <c r="H9" s="39" t="s">
        <v>11</v>
      </c>
      <c r="I9" s="77" t="s">
        <v>24</v>
      </c>
      <c r="J9" s="76" t="s">
        <v>17</v>
      </c>
      <c r="N9" s="5"/>
      <c r="O9" s="3"/>
      <c r="P9" s="6"/>
      <c r="Q9" s="3"/>
      <c r="R9" s="7"/>
      <c r="S9" s="4"/>
      <c r="T9" s="7"/>
    </row>
    <row r="10" spans="1:20" ht="15.75" thickBot="1" x14ac:dyDescent="0.3">
      <c r="A10" s="104" t="s">
        <v>10</v>
      </c>
      <c r="B10" s="41">
        <v>0.52</v>
      </c>
      <c r="C10" s="43">
        <f>IF(LEN(E3)&gt;0,12*D10/SUM(D10:D13),"")</f>
        <v>0</v>
      </c>
      <c r="D10" s="42">
        <f>IF(LEN(E3)&gt;0,MAX(0,MIN(F3,$C$33)-MAX(E3,$B$33)+1),"")</f>
        <v>0</v>
      </c>
      <c r="E10" s="44">
        <f>IF(LEN(D10)&gt;0,$C$3/SUM(C10:C13),"")</f>
        <v>11333.333333333334</v>
      </c>
      <c r="F10" s="101">
        <f>IF(LEN(D10)&gt;0,E10*C10,"")</f>
        <v>0</v>
      </c>
      <c r="G10" s="45">
        <f>IF(LEN(D10)&gt;0,E10*C10*B10,"")</f>
        <v>0</v>
      </c>
      <c r="H10" s="117">
        <f>SUM(G10:G13)</f>
        <v>71740</v>
      </c>
      <c r="I10" s="78">
        <f>IF(LEN(D10)&gt;0,SUM(B10*D10,B11*D11,B12*D12,B13*D13)/SUM(D10:D13),"")</f>
        <v>0.52749999999999997</v>
      </c>
      <c r="J10" s="46">
        <f>SUM(H10,H14,H18,H22,H26)</f>
        <v>291978.30136986298</v>
      </c>
      <c r="N10" s="5"/>
      <c r="O10" s="3"/>
      <c r="P10" s="6"/>
      <c r="Q10" s="3"/>
      <c r="R10" s="7"/>
      <c r="S10" s="4"/>
      <c r="T10" s="7"/>
    </row>
    <row r="11" spans="1:20" x14ac:dyDescent="0.25">
      <c r="A11" s="30"/>
      <c r="B11" s="47">
        <v>0.52500000000000002</v>
      </c>
      <c r="C11" s="49">
        <f>IF(LEN(E3)&gt;0,12*D11/SUM(D10:D13),"")</f>
        <v>6</v>
      </c>
      <c r="D11" s="48">
        <f>IF(LEN(E3)&gt;0,MAX(0,MIN(F3,$C$34)-MAX(E3,$B$34)+1),"")</f>
        <v>183</v>
      </c>
      <c r="E11" s="50">
        <f>IF(LEN(D11)&gt;0,$C$3/SUM(C10:C13),"")</f>
        <v>11333.333333333334</v>
      </c>
      <c r="F11" s="102">
        <f>IF(LEN(D11)&gt;0,E11*C11,"")</f>
        <v>68000</v>
      </c>
      <c r="G11" s="51">
        <f>IF(LEN(D11)&gt;0,E11*C11*B11,"")</f>
        <v>35700</v>
      </c>
      <c r="H11" s="118"/>
      <c r="I11" s="52"/>
      <c r="J11" s="52"/>
      <c r="T11" s="9"/>
    </row>
    <row r="12" spans="1:20" ht="15.75" thickBot="1" x14ac:dyDescent="0.3">
      <c r="A12" s="30"/>
      <c r="B12" s="47">
        <v>0.53</v>
      </c>
      <c r="C12" s="49">
        <f>IF(LEN(E3)&gt;0,12*D12/SUM(D10:D13),"")</f>
        <v>6</v>
      </c>
      <c r="D12" s="48">
        <f>IF(LEN(E3)&gt;0,MAX(0,MIN(F3,$C$35)-MAX(E3,$B$35)+1),"")</f>
        <v>183</v>
      </c>
      <c r="E12" s="50">
        <f>IF(LEN(D12)&gt;0,$C$3/SUM(C10:C13),"")</f>
        <v>11333.333333333334</v>
      </c>
      <c r="F12" s="102">
        <f>IF(LEN(D12)&gt;0,E12*C12,"")</f>
        <v>68000</v>
      </c>
      <c r="G12" s="51">
        <f>IF(LEN(D12)&gt;0,E12*C12*B12,"")</f>
        <v>36040</v>
      </c>
      <c r="H12" s="118"/>
      <c r="I12" s="52"/>
      <c r="J12" s="52"/>
    </row>
    <row r="13" spans="1:20" ht="15.75" customHeight="1" thickBot="1" x14ac:dyDescent="0.3">
      <c r="A13" s="30"/>
      <c r="B13" s="47">
        <v>0.54</v>
      </c>
      <c r="C13" s="49">
        <f>IF(LEN(E3)&gt;0,12*D13/SUM(D10:D13),0)</f>
        <v>0</v>
      </c>
      <c r="D13" s="48">
        <f>IF(LEN(E3)&gt;0,SUM(MAX(0,MIN(F3,$C$36)-MAX(E3,$B$36)+1),(MAX(0,MIN(F3,$C$37)-MAX(E3,$B$37)+1))),"")</f>
        <v>0</v>
      </c>
      <c r="E13" s="50">
        <f>IF(LEN(D13)&gt;0,$C$3/SUM(C10:C13),"")</f>
        <v>11333.333333333334</v>
      </c>
      <c r="F13" s="101">
        <f>IF(LEN(D13)&gt;0,E13*C13,"")</f>
        <v>0</v>
      </c>
      <c r="G13" s="51">
        <f>IF(LEN(D13)&gt;0,E13*C13*B13,"")</f>
        <v>0</v>
      </c>
      <c r="H13" s="118"/>
      <c r="I13" s="60"/>
      <c r="J13" s="52"/>
    </row>
    <row r="14" spans="1:20" ht="15.75" thickBot="1" x14ac:dyDescent="0.3">
      <c r="A14" s="105" t="str">
        <f>IF(LEN(E4)&gt;0,"Period 2:","")</f>
        <v>Period 2:</v>
      </c>
      <c r="B14" s="41">
        <f>IF(LEN(E4)&gt;0,52%,"")</f>
        <v>0.52</v>
      </c>
      <c r="C14" s="43">
        <f>IF(LEN(D14)&gt;0,12*D14/SUM(D14:D17),"")</f>
        <v>0</v>
      </c>
      <c r="D14" s="42">
        <f>IF(LEN(E4)&gt;0,MAX(0,MIN(F4,$C$33)-MAX(E4,$B$33)+1),"")</f>
        <v>0</v>
      </c>
      <c r="E14" s="44">
        <f>IF(LEN(D14)&gt;0,$C$4/SUM(C14:C17),"")</f>
        <v>10333.333333333334</v>
      </c>
      <c r="F14" s="101">
        <f>IF(LEN(D14)&gt;0,C14*E14,"")</f>
        <v>0</v>
      </c>
      <c r="G14" s="45">
        <f>IF(LEN(D14)&gt;0,(E14*C14*B14),0)</f>
        <v>0</v>
      </c>
      <c r="H14" s="117">
        <f>SUM(G14:G17)</f>
        <v>66338.301369863009</v>
      </c>
      <c r="I14" s="78">
        <f>IF(LEN(D14)&gt;0,SUM(B14*D14,B15*D15,B16*D16,B17*D17)/SUM(D14:D17),"")</f>
        <v>0.53498630136986303</v>
      </c>
      <c r="J14" s="52"/>
    </row>
    <row r="15" spans="1:20" x14ac:dyDescent="0.25">
      <c r="A15" s="30"/>
      <c r="B15" s="47">
        <f>IF(LEN(E4)&gt;0,52.5%,"")</f>
        <v>0.52500000000000002</v>
      </c>
      <c r="C15" s="49">
        <f>IF(LEN(D15)&gt;0,12*D15/SUM(D14:D17),"")</f>
        <v>0</v>
      </c>
      <c r="D15" s="48">
        <f>IF(LEN(E4)&gt;0,MAX(0,MIN(F4,$C$34)-MAX(E4,$B$34)+1),"")</f>
        <v>0</v>
      </c>
      <c r="E15" s="50">
        <f>IF(LEN(D15)&gt;0,$C$4/SUM(C14:C17),"")</f>
        <v>10333.333333333334</v>
      </c>
      <c r="F15" s="102">
        <f>IF(LEN(D15)&gt;0,C15*E15,"")</f>
        <v>0</v>
      </c>
      <c r="G15" s="51">
        <f>IF(LEN(D15)&gt;0,(E15*C15*B15),0)</f>
        <v>0</v>
      </c>
      <c r="H15" s="118"/>
      <c r="I15" s="52"/>
      <c r="J15" s="52"/>
    </row>
    <row r="16" spans="1:20" x14ac:dyDescent="0.25">
      <c r="A16" s="30"/>
      <c r="B16" s="47">
        <f>IF(LEN(E4)&gt;0,53%,"")</f>
        <v>0.53</v>
      </c>
      <c r="C16" s="49">
        <f>IF(LEN(D16)&gt;0,12*D16/SUM(D14:D17),"")</f>
        <v>6.0164383561643833</v>
      </c>
      <c r="D16" s="48">
        <f>IF(LEN(E4)&gt;0,MAX(0,MIN(F4,$C$35)-MAX(E4,$B$35)+1),"")</f>
        <v>183</v>
      </c>
      <c r="E16" s="50">
        <f>IF(LEN(D16)&gt;0,$C$4/SUM(C14:C17),"")</f>
        <v>10333.333333333334</v>
      </c>
      <c r="F16" s="102">
        <f>IF(LEN(D16)&gt;0,C16*E16,"")</f>
        <v>62169.863013698632</v>
      </c>
      <c r="G16" s="51">
        <f>IF(LEN(D16)&gt;0,(E16*C16*B16),0)</f>
        <v>32950.027397260274</v>
      </c>
      <c r="H16" s="118"/>
      <c r="I16" s="52"/>
      <c r="J16" s="52"/>
    </row>
    <row r="17" spans="1:10" ht="15.75" thickBot="1" x14ac:dyDescent="0.3">
      <c r="A17" s="30"/>
      <c r="B17" s="47">
        <f>IF(LEN(E4)&gt;0,54%,"")</f>
        <v>0.54</v>
      </c>
      <c r="C17" s="49">
        <f>IF(LEN(D17)&gt;0,12*D17/SUM(D14:D17),"")</f>
        <v>5.9835616438356167</v>
      </c>
      <c r="D17" s="48">
        <f>IF(LEN(E4)&gt;0,SUM(MAX(0,MIN(F4,$C$36)-MAX(E4,$B$36)+1),MAX(0,MIN(F4,$C$37)-MAX(E4,$B$37)+1)),"")</f>
        <v>182</v>
      </c>
      <c r="E17" s="50">
        <f>IF(LEN(D17)&gt;0,$C$4/SUM(C14:C17),"")</f>
        <v>10333.333333333334</v>
      </c>
      <c r="F17" s="102">
        <f>IF(LEN(D17)&gt;0,C17*E17,"")</f>
        <v>61830.136986301375</v>
      </c>
      <c r="G17" s="51">
        <f>IF(LEN(D17)&gt;0,(E17*C17*B17),0)</f>
        <v>33388.273972602743</v>
      </c>
      <c r="H17" s="118"/>
      <c r="I17" s="60"/>
      <c r="J17" s="52"/>
    </row>
    <row r="18" spans="1:10" ht="15.75" thickBot="1" x14ac:dyDescent="0.3">
      <c r="A18" s="108" t="str">
        <f>IF(LEN(E5)&gt;0,"Period 3:","")</f>
        <v>Period 3:</v>
      </c>
      <c r="B18" s="41">
        <f>IF(LEN(E5)&gt;0,52%,"")</f>
        <v>0.52</v>
      </c>
      <c r="C18" s="43">
        <f>IF(LEN(D18)&gt;0,12*D18/SUM(D18:D21),"")</f>
        <v>0</v>
      </c>
      <c r="D18" s="42">
        <f>IF(LEN(E5)&gt;0,MAX(0,MIN(F5,$C$33)-MAX(E5,$B$33)+1),"")</f>
        <v>0</v>
      </c>
      <c r="E18" s="44">
        <f>IF(LEN(D18)&gt;0,$C$5/SUM(C18:C21),"")</f>
        <v>1666.6666666666667</v>
      </c>
      <c r="F18" s="101">
        <f>IF(LEN(D18)&gt;0,C18*E18,"")</f>
        <v>0</v>
      </c>
      <c r="G18" s="45">
        <f>IF(LEN(D18)&gt;0,(E18*C18*B18),0)</f>
        <v>0</v>
      </c>
      <c r="H18" s="117">
        <f>SUM(G18:G21)</f>
        <v>10800</v>
      </c>
      <c r="I18" s="78">
        <f>IF(LEN(D18)&gt;0,SUM(B18*D18,B19*D19,B20*D20,B21*D21)/SUM(D18:D21),"")</f>
        <v>0.54</v>
      </c>
      <c r="J18" s="52"/>
    </row>
    <row r="19" spans="1:10" x14ac:dyDescent="0.25">
      <c r="A19" s="30"/>
      <c r="B19" s="47">
        <f>IF(LEN(E5)&gt;0,52.5%,"")</f>
        <v>0.52500000000000002</v>
      </c>
      <c r="C19" s="49">
        <f>IF(LEN(D19)&gt;0,12*D19/SUM(D18:D21),"")</f>
        <v>0</v>
      </c>
      <c r="D19" s="48">
        <f>IF(LEN(E5)&gt;0,MAX(0,MIN(F5,$C$34)-MAX(E5,$B$34)+1),"")</f>
        <v>0</v>
      </c>
      <c r="E19" s="50">
        <f>IF(LEN(D19)&gt;0,$C$5/SUM(C18:C21),"")</f>
        <v>1666.6666666666667</v>
      </c>
      <c r="F19" s="102">
        <f>IF(LEN(D19)&gt;0,C19*E19,"")</f>
        <v>0</v>
      </c>
      <c r="G19" s="51">
        <f>IF(LEN(D19)&gt;0,(E19*C19*B19),0)</f>
        <v>0</v>
      </c>
      <c r="H19" s="118"/>
      <c r="I19" s="52"/>
      <c r="J19" s="52"/>
    </row>
    <row r="20" spans="1:10" x14ac:dyDescent="0.25">
      <c r="A20" s="30"/>
      <c r="B20" s="47">
        <f>IF(LEN(E5)&gt;0,53%,"")</f>
        <v>0.53</v>
      </c>
      <c r="C20" s="49">
        <f>IF(LEN(D20)&gt;0,12*D20/SUM(D18:D21),"")</f>
        <v>0</v>
      </c>
      <c r="D20" s="48">
        <f>IF(LEN(E5)&gt;0,MAX(0,MIN(F5,$C$35)-MAX(E5,$B$35)+1),"")</f>
        <v>0</v>
      </c>
      <c r="E20" s="50">
        <f>IF(LEN(D20)&gt;0,$C$5/SUM(C18:C21),"")</f>
        <v>1666.6666666666667</v>
      </c>
      <c r="F20" s="102">
        <f>IF(LEN(D20)&gt;0,C20*E20,"")</f>
        <v>0</v>
      </c>
      <c r="G20" s="51">
        <f>IF(LEN(D20)&gt;0,(E20*C20*B20),0)</f>
        <v>0</v>
      </c>
      <c r="H20" s="118"/>
      <c r="I20" s="52"/>
      <c r="J20" s="52"/>
    </row>
    <row r="21" spans="1:10" ht="15.75" thickBot="1" x14ac:dyDescent="0.3">
      <c r="A21" s="30"/>
      <c r="B21" s="47">
        <f>IF(LEN(E5)&gt;0,54%,"")</f>
        <v>0.54</v>
      </c>
      <c r="C21" s="49">
        <f>IF(LEN(D21)&gt;0,12*D21/SUM(D18:D21),"")</f>
        <v>12</v>
      </c>
      <c r="D21" s="48">
        <f>IF(LEN(E5)&gt;0,SUM(MAX(0,MIN(F5,$C$36)-MAX(E5,$B$36)+1),MAX(0,MIN(F5,$C$37)-MAX(E5,$B$37)+1)),"")</f>
        <v>365</v>
      </c>
      <c r="E21" s="50">
        <f>IF(LEN(D21)&gt;0,$C$5/SUM(C18:C21),"")</f>
        <v>1666.6666666666667</v>
      </c>
      <c r="F21" s="102">
        <f>IF(LEN(D21)&gt;0,C21*E21,"")</f>
        <v>20000</v>
      </c>
      <c r="G21" s="51">
        <f>IF(LEN(D21)&gt;0,(E21*C21*B21),0)</f>
        <v>10800</v>
      </c>
      <c r="H21" s="118"/>
      <c r="I21" s="60"/>
      <c r="J21" s="52"/>
    </row>
    <row r="22" spans="1:10" ht="15.75" thickBot="1" x14ac:dyDescent="0.3">
      <c r="A22" s="107" t="str">
        <f>IF(LEN(E6)&gt;0,"Period 4:","")</f>
        <v>Period 4:</v>
      </c>
      <c r="B22" s="41">
        <f>IF(LEN(E6)&gt;0,52%,"")</f>
        <v>0.52</v>
      </c>
      <c r="C22" s="43">
        <f>IF(LEN(D22)&gt;0,12*D22/SUM(D22:D25),"")</f>
        <v>0</v>
      </c>
      <c r="D22" s="42">
        <f>IF(LEN(E6)&gt;0,MAX(0,MIN(F6,$C$33)-MAX(E6,$B$33)+1),"")</f>
        <v>0</v>
      </c>
      <c r="E22" s="44">
        <f>IF(LEN(D22)&gt;0,$C$6/SUM(C22:C25),"")</f>
        <v>13750</v>
      </c>
      <c r="F22" s="101">
        <f>IF(LEN(D22)&gt;0,C22*E22,"")</f>
        <v>0</v>
      </c>
      <c r="G22" s="45">
        <f>IF(LEN(D22)&gt;0,(E22*C22*B22),0)</f>
        <v>0</v>
      </c>
      <c r="H22" s="117">
        <f>SUM(G22:G25)</f>
        <v>89100</v>
      </c>
      <c r="I22" s="78">
        <f>IF(LEN(D22)&gt;0,SUM(B22*D22,B23*D23,B24*D24,B25*D25)/SUM(D22:D25),"")</f>
        <v>0.54</v>
      </c>
      <c r="J22" s="52"/>
    </row>
    <row r="23" spans="1:10" x14ac:dyDescent="0.25">
      <c r="A23" s="30"/>
      <c r="B23" s="47">
        <f>IF(LEN(E6)&gt;0,52.5%,"")</f>
        <v>0.52500000000000002</v>
      </c>
      <c r="C23" s="49">
        <f>IF(LEN(D23)&gt;0,12*D23/SUM(D22:D25),"")</f>
        <v>0</v>
      </c>
      <c r="D23" s="48">
        <f>IF(LEN(E6)&gt;0,MAX(0,MIN(F6,$C$34)-MAX(E6,$B$34)+1),"")</f>
        <v>0</v>
      </c>
      <c r="E23" s="50">
        <f>IF(LEN(D23)&gt;0,$C$6/SUM(C22:C25),"")</f>
        <v>13750</v>
      </c>
      <c r="F23" s="102">
        <f>IF(LEN(D23)&gt;0,C23*E23,"")</f>
        <v>0</v>
      </c>
      <c r="G23" s="51">
        <f>IF(LEN(D23)&gt;0,(E23*C23*B23),0)</f>
        <v>0</v>
      </c>
      <c r="H23" s="118"/>
      <c r="I23" s="52"/>
      <c r="J23" s="52"/>
    </row>
    <row r="24" spans="1:10" x14ac:dyDescent="0.25">
      <c r="A24" s="30"/>
      <c r="B24" s="47">
        <f>IF(LEN(E6)&gt;0,53%,"")</f>
        <v>0.53</v>
      </c>
      <c r="C24" s="49">
        <f>IF(LEN(D24)&gt;0,12*D24/SUM(D22:D25),"")</f>
        <v>0</v>
      </c>
      <c r="D24" s="48">
        <f>IF(LEN(E6)&gt;0,MAX(0,MIN(F6,$C$35)-MAX(E6,$B$35)+1),"")</f>
        <v>0</v>
      </c>
      <c r="E24" s="50">
        <f>IF(LEN(D24)&gt;0,$C$6/SUM(C22:C25),"")</f>
        <v>13750</v>
      </c>
      <c r="F24" s="102">
        <f>IF(LEN(D24)&gt;0,C24*E24,"")</f>
        <v>0</v>
      </c>
      <c r="G24" s="51">
        <f>IF(LEN(D24)&gt;0,(E24*C24*B24),0)</f>
        <v>0</v>
      </c>
      <c r="H24" s="118"/>
      <c r="I24" s="52"/>
      <c r="J24" s="52"/>
    </row>
    <row r="25" spans="1:10" ht="15.75" thickBot="1" x14ac:dyDescent="0.3">
      <c r="A25" s="30"/>
      <c r="B25" s="47">
        <f>IF(LEN(E6)&gt;0,54%,"")</f>
        <v>0.54</v>
      </c>
      <c r="C25" s="49">
        <f>IF(LEN(D25)&gt;0,12*D25/SUM(D22:D25),"")</f>
        <v>12</v>
      </c>
      <c r="D25" s="48">
        <f>IF(LEN(E6)&gt;0,SUM(MAX(0,MIN(F6,$C$36)-MAX(E6,$B$36)+1),MAX(0,MIN(F6,$C$37)-MAX(E6,$B$37)+1)),"")</f>
        <v>365</v>
      </c>
      <c r="E25" s="50">
        <f>IF(LEN(D25)&gt;0,$C$6/SUM(C22:C25),"")</f>
        <v>13750</v>
      </c>
      <c r="F25" s="102">
        <f>IF(LEN(D25)&gt;0,C25*E25,"")</f>
        <v>165000</v>
      </c>
      <c r="G25" s="53">
        <f>IF(LEN(D25)&gt;0,(E25*C25*B25),0)</f>
        <v>89100</v>
      </c>
      <c r="H25" s="118"/>
      <c r="I25" s="60"/>
      <c r="J25" s="52"/>
    </row>
    <row r="26" spans="1:10" ht="15.75" thickBot="1" x14ac:dyDescent="0.3">
      <c r="A26" s="106" t="str">
        <f>IF(LEN(E7)&gt;0,"Period 5:","")</f>
        <v>Period 5:</v>
      </c>
      <c r="B26" s="41">
        <f>IF(LEN(E7)&gt;0,52%,"")</f>
        <v>0.52</v>
      </c>
      <c r="C26" s="43">
        <f>IF(LEN(D26)&gt;0,12*D26/SUM(D26:D29),"")</f>
        <v>0</v>
      </c>
      <c r="D26" s="42">
        <f>IF(LEN(E7)&gt;0,MAX(0,MIN(F7,$C$33)-MAX(E7,$B$33)+1),"")</f>
        <v>0</v>
      </c>
      <c r="E26" s="44">
        <f>IF(LEN(D26)&gt;0,$C$7/SUM(C26:C29),"")</f>
        <v>8333.3333333333339</v>
      </c>
      <c r="F26" s="101">
        <f>IF(LEN(D26)&gt;0,C26*E26,"")</f>
        <v>0</v>
      </c>
      <c r="G26" s="45">
        <f>IF(LEN(D26)&gt;0,(E26*C26*B26),0)</f>
        <v>0</v>
      </c>
      <c r="H26" s="117">
        <f>SUM(G26:G29)</f>
        <v>54000</v>
      </c>
      <c r="I26" s="78">
        <f>IF(LEN(D26)&gt;0,SUM(B26*D26,B27*D27,B28*D28,B29*D29)/SUM(D26:D29),"")</f>
        <v>0.54</v>
      </c>
      <c r="J26" s="52"/>
    </row>
    <row r="27" spans="1:10" x14ac:dyDescent="0.25">
      <c r="A27" s="30"/>
      <c r="B27" s="47">
        <f>IF(LEN(E7)&gt;0,52.5%,"")</f>
        <v>0.52500000000000002</v>
      </c>
      <c r="C27" s="49">
        <f>IF(LEN(D27)&gt;0,12*D27/SUM(D26:D29),"")</f>
        <v>0</v>
      </c>
      <c r="D27" s="48">
        <f>IF(LEN(E7)&gt;0,MAX(0,MIN(7,$C$34)-MAX(E7,$B$34)+1),"")</f>
        <v>0</v>
      </c>
      <c r="E27" s="50">
        <f>IF(LEN(D27)&gt;0,$C$7/SUM(C26:C29),"")</f>
        <v>8333.3333333333339</v>
      </c>
      <c r="F27" s="102">
        <f>IF(LEN(D27)&gt;0,C27*E27,"")</f>
        <v>0</v>
      </c>
      <c r="G27" s="51">
        <f>IF(LEN(D27)&gt;0,(E27*C27*B27),0)</f>
        <v>0</v>
      </c>
      <c r="H27" s="119"/>
      <c r="I27" s="52"/>
      <c r="J27" s="52"/>
    </row>
    <row r="28" spans="1:10" x14ac:dyDescent="0.25">
      <c r="A28" s="30"/>
      <c r="B28" s="47">
        <f>IF(LEN(E7)&gt;0,53%,"")</f>
        <v>0.53</v>
      </c>
      <c r="C28" s="49">
        <f>IF(LEN(D28)&gt;0,12*D28/SUM(D26:D29),"")</f>
        <v>0</v>
      </c>
      <c r="D28" s="48">
        <f>IF(LEN(E7)&gt;0,MAX(0,MIN(F7,$C$35)-MAX(E7,$B$35)+1),"")</f>
        <v>0</v>
      </c>
      <c r="E28" s="50">
        <f>IF(LEN(D28)&gt;0,$C$7/SUM(C26:C29),"")</f>
        <v>8333.3333333333339</v>
      </c>
      <c r="F28" s="102">
        <f>IF(LEN(D28)&gt;0,C28*E28,"")</f>
        <v>0</v>
      </c>
      <c r="G28" s="51">
        <f>IF(LEN(D28)&gt;0,(E28*C28*B28),0)</f>
        <v>0</v>
      </c>
      <c r="H28" s="119"/>
      <c r="I28" s="52"/>
      <c r="J28" s="52"/>
    </row>
    <row r="29" spans="1:10" ht="15.75" thickBot="1" x14ac:dyDescent="0.3">
      <c r="A29" s="30"/>
      <c r="B29" s="55">
        <f>IF(LEN(E7)&gt;0,54%,"")</f>
        <v>0.54</v>
      </c>
      <c r="C29" s="57">
        <f>IF(LEN(D29)&gt;0,12*D29/SUM(D26:D29),"")</f>
        <v>12</v>
      </c>
      <c r="D29" s="56">
        <f>IF(LEN(E7)&gt;0,SUM(MAX(0,MIN(F7,$C$36)-MAX(E7,$B$36)+1),MAX(0,MIN(F7,$C$37)-MAX(E7,$B$37)+1)),"")</f>
        <v>366</v>
      </c>
      <c r="E29" s="58">
        <f>IF(LEN(D29)&gt;0,$C$7/SUM(C26:C29),"")</f>
        <v>8333.3333333333339</v>
      </c>
      <c r="F29" s="103">
        <f>IF(LEN(D29)&gt;0,C29*E29,"")</f>
        <v>100000</v>
      </c>
      <c r="G29" s="59">
        <f>IF(LEN(D29)&gt;0,(E29*C29*B29),0)</f>
        <v>54000</v>
      </c>
      <c r="H29" s="120"/>
      <c r="I29" s="60"/>
      <c r="J29" s="60"/>
    </row>
    <row r="30" spans="1:10" x14ac:dyDescent="0.25">
      <c r="A30" s="30"/>
      <c r="B30" s="90"/>
      <c r="C30" s="48"/>
      <c r="D30" s="49"/>
      <c r="E30" s="50"/>
      <c r="F30" s="51"/>
      <c r="G30" s="54"/>
      <c r="H30" s="91"/>
      <c r="I30" s="91"/>
    </row>
    <row r="31" spans="1:10" x14ac:dyDescent="0.25">
      <c r="A31" s="30"/>
      <c r="B31" s="92" t="s">
        <v>26</v>
      </c>
      <c r="C31" s="93"/>
      <c r="E31" s="94"/>
      <c r="F31" s="95"/>
      <c r="G31" s="96"/>
      <c r="H31" s="91"/>
      <c r="I31" s="91"/>
    </row>
    <row r="32" spans="1:10" ht="30" x14ac:dyDescent="0.25">
      <c r="A32" s="30"/>
      <c r="B32" s="28" t="s">
        <v>0</v>
      </c>
      <c r="C32" s="28" t="s">
        <v>1</v>
      </c>
      <c r="E32" s="28" t="s">
        <v>2</v>
      </c>
      <c r="F32" s="28" t="s">
        <v>3</v>
      </c>
      <c r="G32" s="29" t="s">
        <v>5</v>
      </c>
      <c r="H32" s="91"/>
      <c r="I32" s="91"/>
    </row>
    <row r="33" spans="1:11" x14ac:dyDescent="0.25">
      <c r="A33" s="30"/>
      <c r="B33" s="31">
        <v>41773</v>
      </c>
      <c r="C33" s="31">
        <v>41912</v>
      </c>
      <c r="E33" s="32">
        <v>0.52</v>
      </c>
      <c r="F33" s="33">
        <f>SUM((IF(LEN(F3)&gt;0,MAX(0,MIN(F3,C33)-MAX(E3,B33)+1),0)),(IF(LEN(F4)&gt;0,MAX(0,MIN(F4,C33)-MAX(E4,B33)+1),0)),(IF(LEN(F5)&gt;0,MAX(0,MIN(F5,C33)-MAX(E5,B33)+1),0)),(IF(LEN(F6)&gt;0,MAX(0,MIN(F6,C33)-MAX(E6,B33)+1),0)),(IF(LEN(F7)&gt;0,MAX(0,MIN(F7,C33)-MAX(E7,B33)+1),0)))</f>
        <v>0</v>
      </c>
      <c r="G33" s="34">
        <f>F33/365*12</f>
        <v>0</v>
      </c>
      <c r="H33" s="91"/>
      <c r="I33" s="91"/>
    </row>
    <row r="34" spans="1:11" x14ac:dyDescent="0.25">
      <c r="A34" s="30"/>
      <c r="B34" s="31">
        <v>41913</v>
      </c>
      <c r="C34" s="31">
        <v>42277</v>
      </c>
      <c r="E34" s="35">
        <v>0.52500000000000002</v>
      </c>
      <c r="F34" s="33">
        <f>SUM((IF(LEN(F3)&gt;0,MAX(0,MIN(F3,C34)-MAX(E3,B34)+1),0)),(IF(LEN(F4)&gt;0,MAX(0,MIN(F4,C34)-MAX(E4,B34)+1),0)),(IF(LEN(F5)&gt;0,MAX(0,MIN(F5,C34)-MAX(E5,B34)+1),0)),(IF(LEN(F6)&gt;0,MAX(0,MIN(F6,C34)-MAX(E6,B34)+1),0)),(IF(LEN(F7)&gt;0,MAX(0,MIN(F7,C34)-MAX(E7,B34)+1,0))))</f>
        <v>183</v>
      </c>
      <c r="G34" s="34">
        <f>F34/365*12</f>
        <v>6.0164383561643842</v>
      </c>
      <c r="H34" s="91"/>
      <c r="I34" s="91"/>
    </row>
    <row r="35" spans="1:11" x14ac:dyDescent="0.25">
      <c r="A35" s="30"/>
      <c r="B35" s="31">
        <v>42278</v>
      </c>
      <c r="C35" s="31">
        <v>42643</v>
      </c>
      <c r="E35" s="35">
        <v>0.53</v>
      </c>
      <c r="F35" s="33">
        <f>SUM((IF(LEN(F3)&gt;0,MAX(0,MIN(F3,C35)-MAX(E3,B35)+1),0)),(IF(LEN(F4)&gt;0,MAX(0,MIN(F4,C35)-MAX(E4,B35)+1),0)),(IF(LEN(F5)&gt;0,MAX(0,MIN(F5,C35)-MAX(E5,B35)+1),0)),(IF(LEN(F6)&gt;0,MAX(0,MIN(F6,C35)-MAX(E6,B35)+1),0)),(IF(LEN(F7)&gt;0,MAX(0,MIN(F7,C35)-MAX(E7,B35)+1,0))))</f>
        <v>366</v>
      </c>
      <c r="G35" s="34">
        <f>F35/365*12</f>
        <v>12.032876712328768</v>
      </c>
      <c r="H35" s="91"/>
      <c r="I35" s="91"/>
    </row>
    <row r="36" spans="1:11" x14ac:dyDescent="0.25">
      <c r="A36" s="30"/>
      <c r="B36" s="31">
        <v>42644</v>
      </c>
      <c r="C36" s="31">
        <v>43373</v>
      </c>
      <c r="E36" s="35">
        <v>0.54</v>
      </c>
      <c r="F36" s="33">
        <f>SUM((IF(LEN(F3)&gt;0,MAX(0,MIN(F3,C36)-MAX(E3,B36)+1),0)),(IF(LEN(F4)&gt;0,MAX(0,MIN(F4,C36)-MAX(E4,B36)+1),0)),(IF(LEN(F5)&gt;0,MAX(0,MIN(F5,C36)-MAX(E5,B36)+1),0)),(IF(LEN(F6)&gt;0,MAX(0,MIN(F6,C36)-MAX(E6,B36)+1),0)),(IF(LEN(F7)&gt;0,MAX(0,MIN(F7,C36)-MAX(E7,B36)+1),0)))</f>
        <v>730</v>
      </c>
      <c r="G36" s="34">
        <f>F36/365*12</f>
        <v>24</v>
      </c>
      <c r="H36" s="91"/>
      <c r="I36" s="91"/>
    </row>
    <row r="37" spans="1:11" x14ac:dyDescent="0.25">
      <c r="A37" s="30"/>
      <c r="B37" s="31">
        <v>43374</v>
      </c>
      <c r="C37" s="31">
        <v>73323</v>
      </c>
      <c r="E37" s="35">
        <v>0.54</v>
      </c>
      <c r="F37" s="33">
        <f>SUM((IF(LEN(F3)&gt;0,MAX(0,MIN(F3,C37)-MAX(E3,B37)+1),0)),(IF(LEN(F4)&gt;0,MAX(0,MIN(F4,C37)-MAX(E4,B37)+1),0)),(IF(LEN(F5)&gt;0,MAX(0,MIN(F5,C37)-MAX(E5,B37)+1),0)),(IF(LEN(F6)&gt;0,MAX(0,MIN(F6,C37)-MAX(E6,B37)+1),0)),(IF(LEN(F7)&gt;0,MAX(0,MIN(F7,C37)-MAX(E7,B37)+1),0)))</f>
        <v>548</v>
      </c>
      <c r="G37" s="34">
        <f>F37/365*12</f>
        <v>18.016438356164386</v>
      </c>
      <c r="H37" s="91"/>
      <c r="I37" s="91"/>
      <c r="K37" s="116" t="s">
        <v>28</v>
      </c>
    </row>
    <row r="38" spans="1:11" x14ac:dyDescent="0.25">
      <c r="A38" s="30"/>
      <c r="B38" s="90"/>
      <c r="C38" s="48"/>
      <c r="D38" s="49"/>
      <c r="E38" s="64">
        <f>SUM(F33:F37)</f>
        <v>1827</v>
      </c>
      <c r="F38" s="65">
        <f>SUM(G33:G37)</f>
        <v>60.065753424657537</v>
      </c>
      <c r="G38" s="54"/>
      <c r="H38" s="91"/>
      <c r="I38" s="91"/>
    </row>
    <row r="39" spans="1:11" x14ac:dyDescent="0.25">
      <c r="A39" s="30"/>
      <c r="B39" s="80"/>
      <c r="C39" s="97"/>
      <c r="D39" s="98"/>
      <c r="E39" s="98"/>
      <c r="F39" s="98"/>
      <c r="G39" s="98"/>
      <c r="H39" s="98"/>
      <c r="I39" s="98"/>
    </row>
    <row r="40" spans="1:11" ht="47.25" x14ac:dyDescent="0.25">
      <c r="A40" s="61"/>
      <c r="B40" s="81" t="s">
        <v>25</v>
      </c>
      <c r="C40" s="82" t="s">
        <v>2</v>
      </c>
      <c r="D40" s="82"/>
      <c r="E40" s="82" t="s">
        <v>7</v>
      </c>
      <c r="F40" s="82"/>
      <c r="G40" s="83"/>
      <c r="H40" s="83"/>
      <c r="I40" s="84" t="s">
        <v>17</v>
      </c>
      <c r="J40" s="79"/>
    </row>
    <row r="41" spans="1:11" x14ac:dyDescent="0.25">
      <c r="A41" s="61"/>
      <c r="B41" s="80"/>
      <c r="C41" s="85">
        <f>J10/C1</f>
        <v>0.53574000251351006</v>
      </c>
      <c r="D41" s="86" t="s">
        <v>6</v>
      </c>
      <c r="E41" s="87">
        <f>$C$1</f>
        <v>545000</v>
      </c>
      <c r="F41" s="88" t="s">
        <v>9</v>
      </c>
      <c r="G41" s="83"/>
      <c r="H41" s="83"/>
      <c r="I41" s="89">
        <f>E41*(C41)</f>
        <v>291978.30136986298</v>
      </c>
      <c r="J41" s="79"/>
    </row>
    <row r="42" spans="1:11" x14ac:dyDescent="0.25">
      <c r="A42" s="30"/>
      <c r="B42" s="98"/>
      <c r="C42" s="99"/>
      <c r="D42" s="98"/>
      <c r="E42" s="98"/>
      <c r="F42" s="98"/>
      <c r="G42" s="98"/>
      <c r="H42" s="98"/>
      <c r="I42" s="100"/>
    </row>
    <row r="43" spans="1:11" x14ac:dyDescent="0.25">
      <c r="A43" s="30"/>
      <c r="B43" s="98"/>
      <c r="C43" s="98"/>
      <c r="D43" s="98"/>
      <c r="E43" s="98"/>
      <c r="F43" s="98"/>
      <c r="G43" s="98"/>
      <c r="H43" s="98"/>
      <c r="I43" s="98"/>
    </row>
  </sheetData>
  <sheetProtection password="DF17" sheet="1" objects="1" scenarios="1" selectLockedCells="1"/>
  <conditionalFormatting sqref="B30:F30">
    <cfRule type="expression" dxfId="9" priority="16">
      <formula>$F30&gt;0</formula>
    </cfRule>
  </conditionalFormatting>
  <conditionalFormatting sqref="D4:H7">
    <cfRule type="expression" dxfId="8" priority="7">
      <formula>LEN($B4)&lt;=0</formula>
    </cfRule>
  </conditionalFormatting>
  <conditionalFormatting sqref="C3:C7">
    <cfRule type="expression" dxfId="7" priority="5">
      <formula>AND(LEN($C3)&gt;0,LEN($B3)=0)</formula>
    </cfRule>
    <cfRule type="expression" dxfId="6" priority="8">
      <formula>LEN($B3)=0</formula>
    </cfRule>
  </conditionalFormatting>
  <conditionalFormatting sqref="B38:D38">
    <cfRule type="expression" dxfId="5" priority="21">
      <formula>#REF!&gt;0</formula>
    </cfRule>
  </conditionalFormatting>
  <conditionalFormatting sqref="B10:G13 E31:G31 B31:C31">
    <cfRule type="expression" dxfId="4" priority="23">
      <formula>$G10&gt;0</formula>
    </cfRule>
  </conditionalFormatting>
  <conditionalFormatting sqref="B14:G17">
    <cfRule type="expression" dxfId="3" priority="4">
      <formula>$G14&gt;0</formula>
    </cfRule>
  </conditionalFormatting>
  <conditionalFormatting sqref="B18:G21">
    <cfRule type="expression" dxfId="2" priority="3">
      <formula>$G18&gt;0</formula>
    </cfRule>
  </conditionalFormatting>
  <conditionalFormatting sqref="B22:G25">
    <cfRule type="expression" dxfId="1" priority="2">
      <formula>$G22&gt;0</formula>
    </cfRule>
  </conditionalFormatting>
  <conditionalFormatting sqref="B26:G29">
    <cfRule type="expression" dxfId="0" priority="1">
      <formula>$G26&gt;0</formula>
    </cfRule>
  </conditionalFormatting>
  <pageMargins left="0.7" right="0.7" top="0.75" bottom="0.75" header="0.3" footer="0.3"/>
  <pageSetup scale="66" orientation="landscape" r:id="rId1"/>
  <headerFooter>
    <oddFooter>&amp;R&amp;"-,Italic"&amp;8&amp;K01+049Wayne State University School of Medicine
Research Administrative Services
RAS@med.wayne.edu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topLeftCell="B7" workbookViewId="0">
      <selection activeCell="W10" sqref="W10"/>
    </sheetView>
  </sheetViews>
  <sheetFormatPr defaultRowHeight="15" x14ac:dyDescent="0.25"/>
  <cols>
    <col min="1" max="1" width="18.28515625" customWidth="1"/>
  </cols>
  <sheetData/>
  <sheetProtection password="DF17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Proportional Rates</vt:lpstr>
      <vt:lpstr>SF424 Form C Example</vt:lpstr>
    </vt:vector>
  </TitlesOfParts>
  <Company>Wayne State University School of Medicine</Company>
  <LinksUpToDate>false</LinksUpToDate>
  <SharedDoc>false</SharedDoc>
  <HyperlinkBase>RAS@med.wayne.edu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WSU Variable IDC Rate: Average Rate Calculator</dc:title>
  <dc:creator>Kristin Van Raaphorst</dc:creator>
  <dc:description>Developed by Research Administrative Services</dc:description>
  <cp:lastModifiedBy>Kristin Van Raaphorst</cp:lastModifiedBy>
  <cp:lastPrinted>2014-06-27T16:03:18Z</cp:lastPrinted>
  <dcterms:created xsi:type="dcterms:W3CDTF">2014-06-19T12:48:34Z</dcterms:created>
  <dcterms:modified xsi:type="dcterms:W3CDTF">2014-06-30T16:25:29Z</dcterms:modified>
</cp:coreProperties>
</file>